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pperasse\ADD SKILLS France\Site add skills France\Illustrations\4-Devis\"/>
    </mc:Choice>
  </mc:AlternateContent>
  <xr:revisionPtr revIDLastSave="0" documentId="13_ncr:1_{E7A92FCE-A693-48C7-BD09-69D56E102048}" xr6:coauthVersionLast="47" xr6:coauthVersionMax="47" xr10:uidLastSave="{00000000-0000-0000-0000-000000000000}"/>
  <workbookProtection workbookAlgorithmName="SHA-512" workbookHashValue="d13J7H39duPE6Cp4pyhbZ6hvKOYaX8DwMbdMz8LzPOrPRRB3sBxS0Rd8KSyZ8ZnbeIESQCZz9ef6dBge7GFCxQ==" workbookSaltValue="7ux4floM4+UlhiFEYjBeQA==" workbookSpinCount="100000" lockStructure="1"/>
  <bookViews>
    <workbookView xWindow="-108" yWindow="-108" windowWidth="23256" windowHeight="12456" firstSheet="2" activeTab="2" xr2:uid="{00000000-000D-0000-FFFF-FFFF00000000}"/>
  </bookViews>
  <sheets>
    <sheet name="Devis CORR" sheetId="1" state="hidden" r:id="rId1"/>
    <sheet name="calculateur CORR" sheetId="2" state="hidden" r:id="rId2"/>
    <sheet name="demande devis correction" sheetId="3" r:id="rId3"/>
  </sheets>
  <definedNames>
    <definedName name="Correction_orthographique_simple">'calculateur CORR'!$E$35:$E$36</definedName>
    <definedName name="Mme">'demande devis correction'!$B$5</definedName>
    <definedName name="Prestation_souhaitée">'calculateur CORR'!$E$35:$E$36</definedName>
    <definedName name="xxxx">'demande devis correction'!$B$5</definedName>
  </definedNames>
  <calcPr calcId="191029"/>
</workbook>
</file>

<file path=xl/calcChain.xml><?xml version="1.0" encoding="utf-8"?>
<calcChain xmlns="http://schemas.openxmlformats.org/spreadsheetml/2006/main">
  <c r="B19" i="3" l="1"/>
  <c r="B14" i="1" l="1"/>
  <c r="B13" i="1"/>
  <c r="B10" i="1"/>
  <c r="K57" i="2"/>
  <c r="E75" i="2" l="1"/>
  <c r="E74" i="2"/>
  <c r="E73" i="2"/>
  <c r="E72" i="2"/>
  <c r="E71" i="2"/>
  <c r="E70" i="2"/>
  <c r="E69" i="2"/>
  <c r="E68" i="2"/>
  <c r="K61" i="2"/>
  <c r="K60" i="2"/>
  <c r="K59" i="2"/>
  <c r="K58" i="2"/>
  <c r="K56" i="2"/>
  <c r="K55" i="2"/>
  <c r="K54" i="2"/>
  <c r="B21" i="1"/>
  <c r="B19" i="1"/>
  <c r="K63" i="2" l="1"/>
  <c r="E12" i="2"/>
  <c r="D13" i="2" s="1"/>
  <c r="E7" i="2"/>
  <c r="H12" i="2"/>
  <c r="B23" i="1"/>
  <c r="E13" i="2"/>
  <c r="D14" i="2" s="1"/>
  <c r="E14" i="2"/>
  <c r="D15" i="2" s="1"/>
  <c r="E15" i="2"/>
  <c r="D16" i="2" s="1"/>
  <c r="G16" i="2" s="1"/>
  <c r="P11" i="2" s="1"/>
  <c r="E16" i="2"/>
  <c r="D17" i="2" s="1"/>
  <c r="G17" i="2" s="1"/>
  <c r="Q11" i="2" s="1"/>
  <c r="B15" i="1"/>
  <c r="B16" i="1"/>
  <c r="B17" i="1"/>
  <c r="B18" i="1"/>
  <c r="B12" i="1"/>
  <c r="B9" i="1"/>
  <c r="B8" i="1"/>
  <c r="B7" i="1"/>
  <c r="B6" i="1"/>
  <c r="G14" i="2" l="1"/>
  <c r="N11" i="2" s="1"/>
  <c r="G15" i="2"/>
  <c r="O11" i="2" s="1"/>
  <c r="G13" i="2"/>
  <c r="M11" i="2" s="1"/>
  <c r="L12" i="2"/>
  <c r="L19" i="2" s="1"/>
  <c r="L20" i="2" s="1"/>
  <c r="G12" i="2"/>
  <c r="L11" i="2" s="1"/>
  <c r="K12" i="2"/>
  <c r="Q12" i="2" s="1"/>
  <c r="H13" i="2"/>
  <c r="M13" i="2"/>
  <c r="B35" i="3"/>
  <c r="B33" i="1" l="1"/>
  <c r="B34" i="1"/>
  <c r="E8" i="2"/>
  <c r="O12" i="2"/>
  <c r="N12" i="2"/>
  <c r="M12" i="2"/>
  <c r="M19" i="2" s="1"/>
  <c r="M20" i="2" s="1"/>
  <c r="P12" i="2"/>
  <c r="H14" i="2"/>
  <c r="K13" i="2"/>
  <c r="B20" i="3" l="1"/>
  <c r="B22" i="1"/>
  <c r="Q13" i="2"/>
  <c r="P13" i="2"/>
  <c r="N13" i="2"/>
  <c r="O13" i="2"/>
  <c r="H15" i="2"/>
  <c r="K14" i="2"/>
  <c r="N14" i="2"/>
  <c r="H16" i="2" l="1"/>
  <c r="K15" i="2"/>
  <c r="O15" i="2"/>
  <c r="Q14" i="2"/>
  <c r="O14" i="2"/>
  <c r="P14" i="2"/>
  <c r="N19" i="2"/>
  <c r="N20" i="2" s="1"/>
  <c r="E9" i="2" s="1"/>
  <c r="B27" i="1" s="1"/>
  <c r="B36" i="1" s="1"/>
  <c r="B29" i="1" l="1"/>
  <c r="B35" i="1"/>
  <c r="B28" i="1"/>
  <c r="B37" i="1"/>
  <c r="B32" i="1"/>
  <c r="O19" i="2"/>
  <c r="O20" i="2" s="1"/>
  <c r="Q15" i="2"/>
  <c r="P15" i="2"/>
  <c r="H17" i="2"/>
  <c r="K16" i="2"/>
  <c r="Q16" i="2" s="1"/>
  <c r="P16" i="2"/>
  <c r="P19" i="2" l="1"/>
  <c r="P20" i="2" s="1"/>
  <c r="K17" i="2"/>
  <c r="Q17" i="2"/>
  <c r="Q19" i="2" s="1"/>
  <c r="Q20" i="2" s="1"/>
  <c r="B43" i="1" l="1"/>
</calcChain>
</file>

<file path=xl/sharedStrings.xml><?xml version="1.0" encoding="utf-8"?>
<sst xmlns="http://schemas.openxmlformats.org/spreadsheetml/2006/main" count="138" uniqueCount="123">
  <si>
    <t>Réception du document original</t>
  </si>
  <si>
    <t>Nombre de documents</t>
  </si>
  <si>
    <t>Nombre de blocs de 2500 caractères</t>
  </si>
  <si>
    <t>Nombre total de caractères sans espaces</t>
  </si>
  <si>
    <t>Adresse</t>
  </si>
  <si>
    <t>Livraison du document corrigé</t>
  </si>
  <si>
    <t>Total après réduction</t>
  </si>
  <si>
    <t>Frais de déplacement - impression - envois</t>
  </si>
  <si>
    <t>Frais d'ouverture et gestion de dossier</t>
  </si>
  <si>
    <t>Français</t>
  </si>
  <si>
    <t>Tarif unitaire</t>
  </si>
  <si>
    <t>Tarif petit nombre</t>
  </si>
  <si>
    <t>Tarif moyen nombre</t>
  </si>
  <si>
    <t>Tarif grand nombre</t>
  </si>
  <si>
    <t>Tarif super nombre</t>
  </si>
  <si>
    <t>Tarif maxi nombre</t>
  </si>
  <si>
    <t>Prix/bloc</t>
  </si>
  <si>
    <t>Prix plage</t>
  </si>
  <si>
    <t>Total Cumul</t>
  </si>
  <si>
    <t>revient /bloc</t>
  </si>
  <si>
    <t>Email</t>
  </si>
  <si>
    <t>Téléphone</t>
  </si>
  <si>
    <t>Correction orthographique simple</t>
  </si>
  <si>
    <t>Prestation souhaitée</t>
  </si>
  <si>
    <t>Nature du document</t>
  </si>
  <si>
    <t>Anglais</t>
  </si>
  <si>
    <t>Nombre total de pages</t>
  </si>
  <si>
    <t>Langue du document</t>
  </si>
  <si>
    <t>Date de livraison souhaitée</t>
  </si>
  <si>
    <t>Adresse postale</t>
  </si>
  <si>
    <t>Majoration technicité (selon échantillon reçu)</t>
  </si>
  <si>
    <t>Calculateur tranches</t>
  </si>
  <si>
    <t>Pour avoir le devis le plus précis</t>
  </si>
  <si>
    <t>Afficheur devis</t>
  </si>
  <si>
    <t>Calculateur réduction</t>
  </si>
  <si>
    <t>B - Informations techniques pour le chiffrage</t>
  </si>
  <si>
    <t>Rmarques ou demande spéciale</t>
  </si>
  <si>
    <t>Nature de votre document</t>
  </si>
  <si>
    <t>Langue de votre document</t>
  </si>
  <si>
    <t>Nombre total de pages*</t>
  </si>
  <si>
    <t>Nombre total de caractères sans espaces*</t>
  </si>
  <si>
    <t>* Si les nombres sont provisoires, mettre des chiffres approximatifs proches des valeurs prévues.
Les nombres exacts seront déterminés en fin de prestation.</t>
  </si>
  <si>
    <t>Date de la demande</t>
  </si>
  <si>
    <t>Nom</t>
  </si>
  <si>
    <t>Prénom</t>
  </si>
  <si>
    <t>Mr</t>
  </si>
  <si>
    <t>Mme</t>
  </si>
  <si>
    <t>Liste réductions</t>
  </si>
  <si>
    <t>Oui</t>
  </si>
  <si>
    <t>Non</t>
  </si>
  <si>
    <t xml:space="preserve">Etudiant(e) ? </t>
  </si>
  <si>
    <t>ONG ou association à but non lucratif ?</t>
  </si>
  <si>
    <t xml:space="preserve">Oui, j'enverrai une copie de ma carte d'étudiant(e)  </t>
  </si>
  <si>
    <t>Concatenage réductions</t>
  </si>
  <si>
    <t>Oui, j'enverrai un justificatif</t>
  </si>
  <si>
    <t>réseaux</t>
  </si>
  <si>
    <t xml:space="preserve">ONG / Asso - </t>
  </si>
  <si>
    <t xml:space="preserve">Post Instagram - </t>
  </si>
  <si>
    <t xml:space="preserve">Post Facebook - </t>
  </si>
  <si>
    <t xml:space="preserve">Etudiant(e)  - </t>
  </si>
  <si>
    <t xml:space="preserve">Post Linkedin - </t>
  </si>
  <si>
    <t xml:space="preserve">Post Twitter - </t>
  </si>
  <si>
    <t>Oui, je vais essayer</t>
  </si>
  <si>
    <t>Civilité</t>
  </si>
  <si>
    <t>Demandeur</t>
  </si>
  <si>
    <t>Date de la demande (jj/mm/aaaa)</t>
  </si>
  <si>
    <t>Formules de réduction choisies</t>
  </si>
  <si>
    <t>Echantillon fourni</t>
  </si>
  <si>
    <t>Devis valable 48 heures après émission et ajustable en cas de modifications ultérieures  (recalcul de la taille exacte à la fin de la prestation). Si vous décidez de donner suite à la prestation, merci de renvoyer le contrat signé et de préciser au nom de qui doit être éditée votre facture (nom exact de la personne, du service, ou de l'établissement).</t>
  </si>
  <si>
    <t>Format électronique modifiable par email</t>
  </si>
  <si>
    <t>Par email, format avec corrections visibles + pdf</t>
  </si>
  <si>
    <t>Acompte à verser avant la prestation</t>
  </si>
  <si>
    <t>Montant à verser à la réception du livrable</t>
  </si>
  <si>
    <t>Moyens de règlement</t>
  </si>
  <si>
    <t>Espèces / virement bancaire / OMT Western Union</t>
  </si>
  <si>
    <t>Délai de livraison</t>
  </si>
  <si>
    <t>ss</t>
  </si>
  <si>
    <t>Vous posterez notre site sur Facebook ?</t>
  </si>
  <si>
    <t>Vous posterez notre site sur liste/groupe Whatzapp ?</t>
  </si>
  <si>
    <t>Vous posterez notre site sur Linkedin ?</t>
  </si>
  <si>
    <t>Vous posterez notre site sur instagram ?</t>
  </si>
  <si>
    <t>Vous posterez notre site sur Twitter ?</t>
  </si>
  <si>
    <t>Définition tranhes</t>
  </si>
  <si>
    <t>Définition Prix/bloc/plage</t>
  </si>
  <si>
    <t xml:space="preserve">Diffusion Whatzapp - </t>
  </si>
  <si>
    <t>Parrainage (sous réserve que la personne parrainée passe commande)</t>
  </si>
  <si>
    <t>Actualiser cellules bleues</t>
  </si>
  <si>
    <t>J'envoie un extrait de 2 à 5 pages avec ma demande</t>
  </si>
  <si>
    <t>Je n'envoie pas d'extrait, mais le tarif peut être revu à la hausse</t>
  </si>
  <si>
    <t>Prix réf unitaire</t>
  </si>
  <si>
    <t>% dégraissement entre tranches</t>
  </si>
  <si>
    <t>Tranche tarifaire selon le nombre de blocs</t>
  </si>
  <si>
    <t>Appellation concatenee</t>
  </si>
  <si>
    <t>Demande de devis - Correction de document</t>
  </si>
  <si>
    <t>Devis - Correction de document</t>
  </si>
  <si>
    <t>Référence devis</t>
  </si>
  <si>
    <t>Ma réduction sera de</t>
  </si>
  <si>
    <t>Votre réduction</t>
  </si>
  <si>
    <t>Je cumule mes réductions</t>
  </si>
  <si>
    <t>Vous voudrez parrainer quelqu'un ?</t>
  </si>
  <si>
    <t>Nombre blocs de 2500</t>
  </si>
  <si>
    <t>Total indicatif avant réduction</t>
  </si>
  <si>
    <t>Aucune réduction demandée</t>
  </si>
  <si>
    <t>A - Identification - Contact</t>
  </si>
  <si>
    <t>Tarif / bloc de 2500 caract. selon tranche tarifaire - Avt reduc</t>
  </si>
  <si>
    <t>Tarif indicatif pour 1000 caractères selon tranche - Avt reduc</t>
  </si>
  <si>
    <t>Frais de prestation sur le document - Avant reduction</t>
  </si>
  <si>
    <t>Tarif / bloc de 2500 caract. selon tranche tarifaire - (réduit)</t>
  </si>
  <si>
    <t>Tarif indicatif pour 1000 caractères selon tranche - (réduit)</t>
  </si>
  <si>
    <t>6 Jours ouvrables maximum après signature contrat et réception du document (entier)</t>
  </si>
  <si>
    <t>Majoration temps (délai court, nuit, week end, jour férié)</t>
  </si>
  <si>
    <t>Correction orthographique avec optimisation de tournures</t>
  </si>
  <si>
    <t>Majoration optimis. tournures / reformulation / commentaires</t>
  </si>
  <si>
    <t>B - Prestation demandée - Calendrier d'exécution</t>
  </si>
  <si>
    <t>C - Détail prévisionnel selon les informations techniques fournies</t>
  </si>
  <si>
    <t>D  - Modalités proposées</t>
  </si>
  <si>
    <t>Date de démarrage souhaitée</t>
  </si>
  <si>
    <t>Date de démarrage souhaitée  (jj/mm/aaaa)</t>
  </si>
  <si>
    <t>Date de livraison souhaitée  (jj/mm/aaaa)</t>
  </si>
  <si>
    <t xml:space="preserve"> ___ / __________ / _____</t>
  </si>
  <si>
    <r>
      <t xml:space="preserve">Demande à renvoyer remplie à </t>
    </r>
    <r>
      <rPr>
        <i/>
        <u/>
        <sz val="12"/>
        <color rgb="FF002060"/>
        <rFont val="Calibri"/>
        <family val="2"/>
        <scheme val="minor"/>
      </rPr>
      <t>dr.toufic.wehbe@add-skills.com</t>
    </r>
    <r>
      <rPr>
        <i/>
        <sz val="12"/>
        <color rgb="FF002060"/>
        <rFont val="Calibri"/>
        <family val="2"/>
        <scheme val="minor"/>
      </rPr>
      <t xml:space="preserve">
Pour obtenir le devis le plus précis, joindre à votre demande un échantillon de 2 à 5 pages de extraits de votre document.</t>
    </r>
  </si>
  <si>
    <t>Toufic WÉHBÉ, Ph.D</t>
  </si>
  <si>
    <r>
      <t xml:space="preserve">ADD SKILLS </t>
    </r>
    <r>
      <rPr>
        <i/>
        <sz val="11"/>
        <color rgb="FF002060"/>
        <rFont val="Calibri"/>
        <family val="2"/>
        <scheme val="minor"/>
      </rPr>
      <t>Synergy</t>
    </r>
    <r>
      <rPr>
        <sz val="11"/>
        <color rgb="FF002060"/>
        <rFont val="Calibri"/>
        <family val="2"/>
        <scheme val="minor"/>
      </rPr>
      <t xml:space="preserve"> | www.add-skills.com | + 33 6 74 97 63 05 | dr.toufic.wehbe@add-skills.com
SIRET 94936421000029 | Campus des Sciences de Toulouse - 221 La Tolosane - 31670 Labège - France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</si>
</sst>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\ [$LBP]"/>
    <numFmt numFmtId="165" formatCode="#,##0.00\ [$EUR]"/>
    <numFmt numFmtId="166" formatCode="0#&quot; &quot;##&quot; &quot;##&quot; &quot;##&quot; &quot;##"/>
    <numFmt numFmtId="167" formatCode="_-* #,##0.00\ [$€-40C]_-;\-* #,##0.00\ [$€-40C]_-;_-* &quot;-&quot;??\ [$€-40C]_-;_-@_-"/>
    <numFmt numFmtId="168" formatCode="0.000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i/>
      <u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26"/>
      <color theme="0" tint="-0.499984740745262"/>
      <name val="Ink Free"/>
      <family val="4"/>
    </font>
    <font>
      <b/>
      <sz val="16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8F8F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double">
        <color rgb="FF002060"/>
      </top>
      <bottom/>
      <diagonal/>
    </border>
    <border>
      <left/>
      <right style="thin">
        <color theme="3" tint="0.39994506668294322"/>
      </right>
      <top style="thin">
        <color rgb="FF002060"/>
      </top>
      <bottom/>
      <diagonal/>
    </border>
    <border>
      <left style="thin">
        <color theme="3" tint="0.39994506668294322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82">
    <xf numFmtId="0" fontId="0" fillId="0" borderId="0" xfId="0"/>
    <xf numFmtId="9" fontId="6" fillId="0" borderId="5" xfId="0" applyNumberFormat="1" applyFont="1" applyBorder="1" applyAlignment="1">
      <alignment horizontal="center" vertical="center" wrapText="1"/>
    </xf>
    <xf numFmtId="0" fontId="0" fillId="3" borderId="1" xfId="0" applyFill="1" applyBorder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2" borderId="0" xfId="0" applyFill="1" applyAlignment="1">
      <alignment vertical="center"/>
    </xf>
    <xf numFmtId="15" fontId="1" fillId="0" borderId="5" xfId="0" applyNumberFormat="1" applyFont="1" applyBorder="1" applyAlignment="1" applyProtection="1">
      <alignment horizontal="left" vertical="center" wrapText="1"/>
      <protection locked="0"/>
    </xf>
    <xf numFmtId="15" fontId="7" fillId="5" borderId="5" xfId="0" applyNumberFormat="1" applyFont="1" applyFill="1" applyBorder="1" applyAlignment="1">
      <alignment horizontal="left" vertical="center" wrapText="1"/>
    </xf>
    <xf numFmtId="166" fontId="1" fillId="0" borderId="5" xfId="0" applyNumberFormat="1" applyFont="1" applyBorder="1" applyAlignment="1" applyProtection="1">
      <alignment horizontal="left" vertical="center" wrapText="1"/>
      <protection locked="0"/>
    </xf>
    <xf numFmtId="15" fontId="9" fillId="0" borderId="5" xfId="1" applyNumberFormat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2" fontId="10" fillId="2" borderId="6" xfId="0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vertical="center" wrapText="1"/>
      <protection locked="0"/>
    </xf>
    <xf numFmtId="0" fontId="11" fillId="6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6" borderId="1" xfId="0" applyFill="1" applyBorder="1" applyProtection="1">
      <protection locked="0"/>
    </xf>
    <xf numFmtId="9" fontId="0" fillId="6" borderId="1" xfId="2" applyFon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3" fontId="1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NumberFormat="1" applyFill="1" applyBorder="1" applyAlignment="1" applyProtection="1">
      <alignment vertical="center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15" fontId="23" fillId="7" borderId="5" xfId="0" applyNumberFormat="1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vertical="center" wrapText="1"/>
    </xf>
    <xf numFmtId="0" fontId="31" fillId="7" borderId="5" xfId="0" applyFont="1" applyFill="1" applyBorder="1" applyAlignment="1">
      <alignment vertical="center" wrapText="1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0" fontId="33" fillId="0" borderId="0" xfId="0" applyFont="1" applyAlignment="1">
      <alignment horizontal="right" vertical="center"/>
    </xf>
    <xf numFmtId="0" fontId="23" fillId="7" borderId="13" xfId="0" applyFont="1" applyFill="1" applyBorder="1" applyAlignment="1">
      <alignment vertical="center" wrapText="1"/>
    </xf>
    <xf numFmtId="0" fontId="8" fillId="4" borderId="13" xfId="0" applyFont="1" applyFill="1" applyBorder="1" applyAlignment="1" applyProtection="1">
      <alignment vertical="center" wrapText="1"/>
      <protection locked="0"/>
    </xf>
    <xf numFmtId="0" fontId="24" fillId="7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24" fillId="7" borderId="13" xfId="0" applyFont="1" applyFill="1" applyBorder="1" applyAlignment="1">
      <alignment vertical="center"/>
    </xf>
    <xf numFmtId="166" fontId="16" fillId="2" borderId="13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13" xfId="0" applyNumberFormat="1" applyFont="1" applyFill="1" applyBorder="1" applyAlignment="1">
      <alignment horizontal="left" vertical="center" wrapText="1"/>
    </xf>
    <xf numFmtId="3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2" fontId="16" fillId="2" borderId="13" xfId="0" applyNumberFormat="1" applyFont="1" applyFill="1" applyBorder="1" applyAlignment="1">
      <alignment horizontal="right" vertical="center" wrapText="1"/>
    </xf>
    <xf numFmtId="2" fontId="16" fillId="2" borderId="13" xfId="0" applyNumberFormat="1" applyFont="1" applyFill="1" applyBorder="1" applyAlignment="1">
      <alignment horizontal="left" vertical="center" wrapText="1"/>
    </xf>
    <xf numFmtId="165" fontId="16" fillId="2" borderId="13" xfId="0" applyNumberFormat="1" applyFont="1" applyFill="1" applyBorder="1" applyAlignment="1">
      <alignment horizontal="left" vertical="center" wrapText="1"/>
    </xf>
    <xf numFmtId="4" fontId="2" fillId="4" borderId="13" xfId="0" applyNumberFormat="1" applyFont="1" applyFill="1" applyBorder="1" applyAlignment="1" applyProtection="1">
      <alignment horizontal="left" vertical="center" wrapText="1"/>
      <protection locked="0"/>
    </xf>
    <xf numFmtId="167" fontId="16" fillId="2" borderId="13" xfId="0" applyNumberFormat="1" applyFont="1" applyFill="1" applyBorder="1" applyAlignment="1">
      <alignment horizontal="right" vertical="center" wrapText="1"/>
    </xf>
    <xf numFmtId="0" fontId="25" fillId="7" borderId="13" xfId="0" applyFont="1" applyFill="1" applyBorder="1" applyAlignment="1">
      <alignment horizontal="left" vertical="center" wrapText="1"/>
    </xf>
    <xf numFmtId="44" fontId="21" fillId="2" borderId="13" xfId="3" applyFont="1" applyFill="1" applyBorder="1" applyAlignment="1">
      <alignment horizontal="left" vertical="center" wrapText="1"/>
    </xf>
    <xf numFmtId="0" fontId="26" fillId="7" borderId="13" xfId="0" applyFont="1" applyFill="1" applyBorder="1" applyAlignment="1">
      <alignment horizontal="right" vertical="center" wrapText="1"/>
    </xf>
    <xf numFmtId="0" fontId="24" fillId="7" borderId="13" xfId="0" applyFont="1" applyFill="1" applyBorder="1" applyAlignment="1">
      <alignment horizontal="left" vertical="center" wrapText="1"/>
    </xf>
    <xf numFmtId="165" fontId="17" fillId="2" borderId="13" xfId="0" applyNumberFormat="1" applyFont="1" applyFill="1" applyBorder="1" applyAlignment="1">
      <alignment horizontal="left" vertical="center" wrapText="1"/>
    </xf>
    <xf numFmtId="9" fontId="18" fillId="2" borderId="13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right" vertical="center" wrapText="1"/>
    </xf>
    <xf numFmtId="165" fontId="18" fillId="2" borderId="13" xfId="0" applyNumberFormat="1" applyFont="1" applyFill="1" applyBorder="1" applyAlignment="1">
      <alignment horizontal="right" vertical="center" wrapText="1"/>
    </xf>
    <xf numFmtId="165" fontId="19" fillId="2" borderId="13" xfId="0" applyNumberFormat="1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  <protection locked="0"/>
    </xf>
    <xf numFmtId="165" fontId="20" fillId="4" borderId="13" xfId="0" applyNumberFormat="1" applyFont="1" applyFill="1" applyBorder="1" applyAlignment="1" applyProtection="1">
      <alignment horizontal="right" vertical="center" wrapText="1"/>
      <protection locked="0"/>
    </xf>
    <xf numFmtId="0" fontId="34" fillId="7" borderId="13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left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8" fillId="7" borderId="5" xfId="0" applyFont="1" applyFill="1" applyBorder="1" applyAlignment="1">
      <alignment horizontal="left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left" vertical="center" wrapText="1"/>
    </xf>
  </cellXfs>
  <cellStyles count="4">
    <cellStyle name="Lien hypertexte" xfId="1" builtinId="8"/>
    <cellStyle name="Monétaire" xfId="3" builtinId="4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8F8F8"/>
      <color rgb="FFF1F1F3"/>
      <color rgb="FFECF4FA"/>
      <color rgb="FFE1EEF7"/>
      <color rgb="FFDAE7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1014665</xdr:colOff>
      <xdr:row>0</xdr:row>
      <xdr:rowOff>571500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B8BA032E-15DC-4A01-88D3-E09757B34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01466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14865</xdr:colOff>
      <xdr:row>16</xdr:row>
      <xdr:rowOff>129138</xdr:rowOff>
    </xdr:from>
    <xdr:to>
      <xdr:col>7</xdr:col>
      <xdr:colOff>25664</xdr:colOff>
      <xdr:row>24</xdr:row>
      <xdr:rowOff>456382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9F7AA08-2F7E-341C-0A64-0A0E6615E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2154" y="5182401"/>
          <a:ext cx="4081484" cy="2091876"/>
        </a:xfrm>
        <a:prstGeom prst="rect">
          <a:avLst/>
        </a:prstGeom>
      </xdr:spPr>
    </xdr:pic>
    <xdr:clientData/>
  </xdr:twoCellAnchor>
  <xdr:twoCellAnchor editAs="oneCell">
    <xdr:from>
      <xdr:col>3</xdr:col>
      <xdr:colOff>96772</xdr:colOff>
      <xdr:row>3</xdr:row>
      <xdr:rowOff>83820</xdr:rowOff>
    </xdr:from>
    <xdr:to>
      <xdr:col>7</xdr:col>
      <xdr:colOff>220831</xdr:colOff>
      <xdr:row>10</xdr:row>
      <xdr:rowOff>40798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D752538C-4131-6BD4-26AD-9D0D3C7F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4061" y="1988820"/>
          <a:ext cx="4194744" cy="1811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1273628</xdr:colOff>
      <xdr:row>0</xdr:row>
      <xdr:rowOff>717358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7720B7A5-1547-4F50-AAB9-62E79B4B5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0"/>
          <a:ext cx="1273628" cy="717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E47"/>
  <sheetViews>
    <sheetView topLeftCell="A4" zoomScaleNormal="100" workbookViewId="0">
      <selection activeCell="B4" sqref="B4"/>
    </sheetView>
  </sheetViews>
  <sheetFormatPr baseColWidth="10" defaultColWidth="11.44140625" defaultRowHeight="14.4" x14ac:dyDescent="0.3"/>
  <cols>
    <col min="1" max="1" width="50.5546875" style="23" customWidth="1"/>
    <col min="2" max="2" width="40.77734375" style="23" customWidth="1"/>
    <col min="3" max="3" width="11.44140625" style="23" customWidth="1"/>
    <col min="4" max="4" width="12" style="23" bestFit="1" customWidth="1"/>
    <col min="5" max="5" width="11.44140625" style="23"/>
    <col min="6" max="6" width="19.44140625" style="23" customWidth="1"/>
    <col min="7" max="8" width="11.44140625" style="23"/>
    <col min="9" max="9" width="3" style="23" customWidth="1"/>
    <col min="10" max="10" width="11.77734375" style="23" customWidth="1"/>
    <col min="11" max="11" width="8.109375" style="23" customWidth="1"/>
    <col min="12" max="16384" width="11.44140625" style="23"/>
  </cols>
  <sheetData>
    <row r="1" spans="1:2" ht="46.8" customHeight="1" x14ac:dyDescent="0.3">
      <c r="B1" s="39" t="s">
        <v>121</v>
      </c>
    </row>
    <row r="2" spans="1:2" ht="12.6" customHeight="1" x14ac:dyDescent="0.3">
      <c r="B2" s="39"/>
    </row>
    <row r="3" spans="1:2" ht="22.8" customHeight="1" x14ac:dyDescent="0.3">
      <c r="A3" s="66" t="s">
        <v>94</v>
      </c>
      <c r="B3" s="66"/>
    </row>
    <row r="4" spans="1:2" ht="16.2" customHeight="1" x14ac:dyDescent="0.3">
      <c r="A4" s="40" t="s">
        <v>95</v>
      </c>
      <c r="B4" s="41" t="s">
        <v>76</v>
      </c>
    </row>
    <row r="5" spans="1:2" ht="15" customHeight="1" x14ac:dyDescent="0.3">
      <c r="A5" s="71" t="s">
        <v>103</v>
      </c>
      <c r="B5" s="71"/>
    </row>
    <row r="6" spans="1:2" x14ac:dyDescent="0.3">
      <c r="A6" s="42" t="s">
        <v>64</v>
      </c>
      <c r="B6" s="43" t="str">
        <f>CONCATENATE('demande devis correction'!B5, " ", 'demande devis correction'!B6," ",'demande devis correction'!B7)</f>
        <v xml:space="preserve">  </v>
      </c>
    </row>
    <row r="7" spans="1:2" x14ac:dyDescent="0.3">
      <c r="A7" s="44" t="s">
        <v>21</v>
      </c>
      <c r="B7" s="45">
        <f>'demande devis correction'!B8</f>
        <v>0</v>
      </c>
    </row>
    <row r="8" spans="1:2" x14ac:dyDescent="0.3">
      <c r="A8" s="44" t="s">
        <v>20</v>
      </c>
      <c r="B8" s="45">
        <f>'demande devis correction'!B9</f>
        <v>0</v>
      </c>
    </row>
    <row r="9" spans="1:2" ht="40.200000000000003" customHeight="1" x14ac:dyDescent="0.3">
      <c r="A9" s="42" t="s">
        <v>4</v>
      </c>
      <c r="B9" s="45">
        <f>'demande devis correction'!B10</f>
        <v>0</v>
      </c>
    </row>
    <row r="10" spans="1:2" x14ac:dyDescent="0.3">
      <c r="A10" s="42" t="s">
        <v>42</v>
      </c>
      <c r="B10" s="46" t="str">
        <f>'demande devis correction'!B11</f>
        <v xml:space="preserve"> ___ / __________ / _____</v>
      </c>
    </row>
    <row r="11" spans="1:2" ht="15.6" x14ac:dyDescent="0.3">
      <c r="A11" s="71" t="s">
        <v>113</v>
      </c>
      <c r="B11" s="71"/>
    </row>
    <row r="12" spans="1:2" ht="15" customHeight="1" x14ac:dyDescent="0.3">
      <c r="A12" s="42" t="s">
        <v>23</v>
      </c>
      <c r="B12" s="43">
        <f>'demande devis correction'!B13</f>
        <v>0</v>
      </c>
    </row>
    <row r="13" spans="1:2" ht="15" customHeight="1" x14ac:dyDescent="0.3">
      <c r="A13" s="42" t="s">
        <v>116</v>
      </c>
      <c r="B13" s="47" t="str">
        <f>'demande devis correction'!B22</f>
        <v xml:space="preserve"> ___ / __________ / _____</v>
      </c>
    </row>
    <row r="14" spans="1:2" ht="15" customHeight="1" x14ac:dyDescent="0.3">
      <c r="A14" s="42" t="s">
        <v>28</v>
      </c>
      <c r="B14" s="47" t="str">
        <f>'demande devis correction'!B23</f>
        <v xml:space="preserve"> ___ / __________ / _____</v>
      </c>
    </row>
    <row r="15" spans="1:2" ht="15" customHeight="1" x14ac:dyDescent="0.3">
      <c r="A15" s="42" t="s">
        <v>24</v>
      </c>
      <c r="B15" s="43">
        <f>'demande devis correction'!B14</f>
        <v>0</v>
      </c>
    </row>
    <row r="16" spans="1:2" ht="15" customHeight="1" x14ac:dyDescent="0.3">
      <c r="A16" s="42" t="s">
        <v>27</v>
      </c>
      <c r="B16" s="43">
        <f>'demande devis correction'!B15</f>
        <v>0</v>
      </c>
    </row>
    <row r="17" spans="1:4" ht="15" customHeight="1" x14ac:dyDescent="0.3">
      <c r="A17" s="42" t="s">
        <v>1</v>
      </c>
      <c r="B17" s="43">
        <f>'demande devis correction'!B16</f>
        <v>0</v>
      </c>
    </row>
    <row r="18" spans="1:4" ht="15" customHeight="1" x14ac:dyDescent="0.3">
      <c r="A18" s="42" t="s">
        <v>26</v>
      </c>
      <c r="B18" s="43">
        <f>'demande devis correction'!B17</f>
        <v>0</v>
      </c>
    </row>
    <row r="19" spans="1:4" ht="15" customHeight="1" x14ac:dyDescent="0.3">
      <c r="A19" s="42" t="s">
        <v>3</v>
      </c>
      <c r="B19" s="48">
        <f>'demande devis correction'!B18</f>
        <v>111111</v>
      </c>
    </row>
    <row r="20" spans="1:4" ht="15.6" x14ac:dyDescent="0.3">
      <c r="A20" s="71" t="s">
        <v>114</v>
      </c>
      <c r="B20" s="71"/>
    </row>
    <row r="21" spans="1:4" ht="12.45" customHeight="1" x14ac:dyDescent="0.3">
      <c r="A21" s="42" t="s">
        <v>2</v>
      </c>
      <c r="B21" s="49">
        <f>'demande devis correction'!$B$19</f>
        <v>44.444400000000002</v>
      </c>
    </row>
    <row r="22" spans="1:4" ht="12.45" customHeight="1" x14ac:dyDescent="0.3">
      <c r="A22" s="42" t="s">
        <v>91</v>
      </c>
      <c r="B22" s="50" t="str">
        <f>'calculateur CORR'!$E$8</f>
        <v>Tarif moyen nombre (31-60 blocs)</v>
      </c>
    </row>
    <row r="23" spans="1:4" ht="12.45" customHeight="1" x14ac:dyDescent="0.3">
      <c r="A23" s="42" t="s">
        <v>67</v>
      </c>
      <c r="B23" s="51" t="str">
        <f>IF('demande devis correction'!B24='calculateur CORR'!E41, "Oui", " Non, le tarif peut être revu à la hausse"    )</f>
        <v xml:space="preserve"> Non, le tarif peut être revu à la hausse</v>
      </c>
    </row>
    <row r="24" spans="1:4" ht="12.45" customHeight="1" x14ac:dyDescent="0.3">
      <c r="A24" s="42" t="s">
        <v>112</v>
      </c>
      <c r="B24" s="52">
        <v>2</v>
      </c>
    </row>
    <row r="25" spans="1:4" ht="12.45" customHeight="1" x14ac:dyDescent="0.3">
      <c r="A25" s="42" t="s">
        <v>110</v>
      </c>
      <c r="B25" s="52">
        <v>1</v>
      </c>
    </row>
    <row r="26" spans="1:4" ht="12.45" customHeight="1" x14ac:dyDescent="0.3">
      <c r="A26" s="42" t="s">
        <v>30</v>
      </c>
      <c r="B26" s="52">
        <v>1</v>
      </c>
    </row>
    <row r="27" spans="1:4" ht="12.45" customHeight="1" x14ac:dyDescent="0.3">
      <c r="A27" s="42" t="s">
        <v>104</v>
      </c>
      <c r="B27" s="53">
        <f>'calculateur CORR'!$E$9 *  (B24*B25*B26)</f>
        <v>11.612251082251083</v>
      </c>
    </row>
    <row r="28" spans="1:4" ht="12.45" customHeight="1" x14ac:dyDescent="0.3">
      <c r="A28" s="54" t="s">
        <v>105</v>
      </c>
      <c r="B28" s="55" t="str">
        <f>CONCATENATE(ROUND(B27/2.5,2)," € / 1000 caractères avant réduction")</f>
        <v>4,64 € / 1000 caractères avant réduction</v>
      </c>
      <c r="D28" s="35"/>
    </row>
    <row r="29" spans="1:4" ht="12.45" customHeight="1" x14ac:dyDescent="0.3">
      <c r="A29" s="42" t="s">
        <v>106</v>
      </c>
      <c r="B29" s="53">
        <f>B21*B27</f>
        <v>516.09953200000007</v>
      </c>
    </row>
    <row r="30" spans="1:4" ht="12.45" customHeight="1" x14ac:dyDescent="0.3">
      <c r="A30" s="42" t="s">
        <v>8</v>
      </c>
      <c r="B30" s="53">
        <v>8</v>
      </c>
    </row>
    <row r="31" spans="1:4" ht="12.45" customHeight="1" x14ac:dyDescent="0.3">
      <c r="A31" s="42" t="s">
        <v>7</v>
      </c>
      <c r="B31" s="53">
        <v>0</v>
      </c>
      <c r="C31" s="36"/>
    </row>
    <row r="32" spans="1:4" ht="12.45" customHeight="1" x14ac:dyDescent="0.3">
      <c r="A32" s="56" t="s">
        <v>101</v>
      </c>
      <c r="B32" s="53">
        <f>B31+B30+B29</f>
        <v>524.09953200000007</v>
      </c>
    </row>
    <row r="33" spans="1:5" ht="33" customHeight="1" x14ac:dyDescent="0.3">
      <c r="A33" s="57" t="s">
        <v>66</v>
      </c>
      <c r="B33" s="58" t="str">
        <f xml:space="preserve"> IF('demande devis correction'!B35=0,  'calculateur CORR'!L63, 'calculateur CORR'!K63)</f>
        <v>Aucune réduction demandée</v>
      </c>
      <c r="D33" s="35"/>
    </row>
    <row r="34" spans="1:5" ht="15.6" x14ac:dyDescent="0.3">
      <c r="A34" s="57" t="s">
        <v>97</v>
      </c>
      <c r="B34" s="59">
        <f xml:space="preserve"> - 'demande devis correction'!B35</f>
        <v>0</v>
      </c>
      <c r="D34" s="37"/>
      <c r="E34" s="38"/>
    </row>
    <row r="35" spans="1:5" x14ac:dyDescent="0.3">
      <c r="A35" s="54" t="s">
        <v>107</v>
      </c>
      <c r="B35" s="55" t="str">
        <f>CONCATENATE(ROUND(B27*(1+B34),2)," € / 2500 caractères après réduction")</f>
        <v>11,61 € / 2500 caractères après réduction</v>
      </c>
      <c r="D35" s="37"/>
      <c r="E35" s="38"/>
    </row>
    <row r="36" spans="1:5" x14ac:dyDescent="0.3">
      <c r="A36" s="54" t="s">
        <v>108</v>
      </c>
      <c r="B36" s="55" t="str">
        <f>CONCATENATE(ROUND((1+B34)*B27/2.5,2)," € / 1000 caractères après réduction")</f>
        <v>4,64 € / 1000 caractères après réduction</v>
      </c>
      <c r="D36" s="37"/>
      <c r="E36" s="38"/>
    </row>
    <row r="37" spans="1:5" ht="15.6" x14ac:dyDescent="0.3">
      <c r="A37" s="60" t="s">
        <v>6</v>
      </c>
      <c r="B37" s="61">
        <f>B31+B30+B29*(1+B34)</f>
        <v>524.09953200000007</v>
      </c>
      <c r="C37" s="37"/>
      <c r="D37" s="37"/>
    </row>
    <row r="38" spans="1:5" ht="15.6" x14ac:dyDescent="0.3">
      <c r="A38" s="71" t="s">
        <v>115</v>
      </c>
      <c r="B38" s="71"/>
    </row>
    <row r="39" spans="1:5" ht="14.55" customHeight="1" x14ac:dyDescent="0.3">
      <c r="A39" s="42" t="s">
        <v>0</v>
      </c>
      <c r="B39" s="62" t="s">
        <v>69</v>
      </c>
    </row>
    <row r="40" spans="1:5" ht="14.55" customHeight="1" x14ac:dyDescent="0.3">
      <c r="A40" s="42" t="s">
        <v>5</v>
      </c>
      <c r="B40" s="63" t="s">
        <v>70</v>
      </c>
    </row>
    <row r="41" spans="1:5" ht="23.55" customHeight="1" x14ac:dyDescent="0.3">
      <c r="A41" s="42" t="s">
        <v>75</v>
      </c>
      <c r="B41" s="64" t="s">
        <v>109</v>
      </c>
    </row>
    <row r="42" spans="1:5" ht="15" customHeight="1" x14ac:dyDescent="0.3">
      <c r="A42" s="42" t="s">
        <v>71</v>
      </c>
      <c r="B42" s="65">
        <v>0</v>
      </c>
    </row>
    <row r="43" spans="1:5" ht="15" customHeight="1" x14ac:dyDescent="0.3">
      <c r="A43" s="42" t="s">
        <v>72</v>
      </c>
      <c r="B43" s="61">
        <f>B37-B42</f>
        <v>524.09953200000007</v>
      </c>
    </row>
    <row r="44" spans="1:5" ht="15" customHeight="1" x14ac:dyDescent="0.3">
      <c r="A44" s="42" t="s">
        <v>73</v>
      </c>
      <c r="B44" s="63" t="s">
        <v>74</v>
      </c>
    </row>
    <row r="45" spans="1:5" ht="40.799999999999997" customHeight="1" x14ac:dyDescent="0.3">
      <c r="A45" s="69" t="s">
        <v>68</v>
      </c>
      <c r="B45" s="70"/>
    </row>
    <row r="46" spans="1:5" ht="15" thickBot="1" x14ac:dyDescent="0.35">
      <c r="A46" s="6"/>
      <c r="B46" s="6"/>
    </row>
    <row r="47" spans="1:5" ht="32.4" customHeight="1" thickTop="1" x14ac:dyDescent="0.3">
      <c r="A47" s="67" t="s">
        <v>122</v>
      </c>
      <c r="B47" s="68"/>
    </row>
  </sheetData>
  <sheetProtection sheet="1" formatCells="0" selectLockedCells="1"/>
  <dataConsolidate/>
  <mergeCells count="7">
    <mergeCell ref="A3:B3"/>
    <mergeCell ref="A47:B47"/>
    <mergeCell ref="A45:B45"/>
    <mergeCell ref="A5:B5"/>
    <mergeCell ref="A11:B11"/>
    <mergeCell ref="A20:B20"/>
    <mergeCell ref="A38:B38"/>
  </mergeCells>
  <pageMargins left="0.70866141732283472" right="0.23622047244094491" top="0.19685039370078741" bottom="0.15748031496062992" header="0.31496062992125984" footer="0.31496062992125984"/>
  <pageSetup paperSize="9" orientation="portrait" r:id="rId1"/>
  <ignoredErrors>
    <ignoredError sqref="B6:B9 B15:B19 B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4:Q78"/>
  <sheetViews>
    <sheetView topLeftCell="A4" zoomScale="69" workbookViewId="0">
      <selection activeCell="B4" sqref="B4"/>
    </sheetView>
  </sheetViews>
  <sheetFormatPr baseColWidth="10" defaultColWidth="11.44140625" defaultRowHeight="14.4" x14ac:dyDescent="0.3"/>
  <cols>
    <col min="6" max="6" width="19.109375" customWidth="1"/>
    <col min="7" max="7" width="26.44140625" customWidth="1"/>
    <col min="10" max="10" width="3.44140625" customWidth="1"/>
  </cols>
  <sheetData>
    <row r="4" spans="1:17" ht="23.4" x14ac:dyDescent="0.45">
      <c r="B4" s="18" t="s">
        <v>86</v>
      </c>
    </row>
    <row r="5" spans="1:17" ht="25.8" x14ac:dyDescent="0.5">
      <c r="B5" s="19"/>
      <c r="D5" s="72" t="s">
        <v>31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7" x14ac:dyDescent="0.3">
      <c r="B6" s="1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3">
      <c r="B7" s="19"/>
      <c r="D7" s="2" t="s">
        <v>100</v>
      </c>
      <c r="E7" s="3">
        <f>'demande devis correction'!$B$18  / 2500</f>
        <v>44.444400000000002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8.8" x14ac:dyDescent="0.3">
      <c r="A8" s="5" t="s">
        <v>89</v>
      </c>
      <c r="B8" s="20">
        <v>6.5</v>
      </c>
      <c r="D8" s="2"/>
      <c r="E8" s="2" t="str">
        <f>IF($E$7&lt;=E12,  G12,         IF($E$7&lt;=E13,G13,   IF($E$7&lt;=E14,  G14,     IF($E$7&lt;=E15, G15,     IF($E$7&lt;=E16,G16,        IF($E$7&gt;E16,G17))))))</f>
        <v>Tarif moyen nombre (31-60 blocs)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57.6" x14ac:dyDescent="0.3">
      <c r="A9" s="5" t="s">
        <v>90</v>
      </c>
      <c r="B9" s="21">
        <v>-0.1</v>
      </c>
      <c r="D9" s="2" t="s">
        <v>19</v>
      </c>
      <c r="E9" s="4">
        <f>IF($E$8=L11,  L20,         IF($E$8=M11,M20,   IF($E$8=N11,  N20,     IF($E$8=O11, O20,     IF($E$8=P11,P20,        IF($E$8=Q11,Q20))))))</f>
        <v>5.8061255411255415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3">
      <c r="B10" s="19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43.2" x14ac:dyDescent="0.3">
      <c r="A11" s="28"/>
      <c r="B11" s="28"/>
      <c r="D11" s="2"/>
      <c r="E11" s="5" t="s">
        <v>82</v>
      </c>
      <c r="F11" s="2"/>
      <c r="G11" s="2" t="s">
        <v>92</v>
      </c>
      <c r="H11" s="5" t="s">
        <v>83</v>
      </c>
      <c r="I11" s="2"/>
      <c r="J11" s="2"/>
      <c r="K11" s="2" t="s">
        <v>17</v>
      </c>
      <c r="L11" s="5" t="str">
        <f>G12</f>
        <v>Tarif unitaire (0-10 blocs)</v>
      </c>
      <c r="M11" s="5" t="str">
        <f>G13</f>
        <v>Tarif petit nombre (11-30 blocs)</v>
      </c>
      <c r="N11" s="5" t="str">
        <f>G14</f>
        <v>Tarif moyen nombre (31-60 blocs)</v>
      </c>
      <c r="O11" s="5" t="str">
        <f>G15</f>
        <v>Tarif grand nombre (61-100 blocs)</v>
      </c>
      <c r="P11" s="5" t="str">
        <f>G16</f>
        <v>Tarif super nombre (101-150 blocs)</v>
      </c>
      <c r="Q11" s="5" t="str">
        <f>G17</f>
        <v>Tarif maxi nombre (&gt; 151 blocs)</v>
      </c>
    </row>
    <row r="12" spans="1:17" x14ac:dyDescent="0.3">
      <c r="D12" s="2">
        <v>0</v>
      </c>
      <c r="E12" s="2">
        <f>B15</f>
        <v>10</v>
      </c>
      <c r="F12" s="2" t="s">
        <v>10</v>
      </c>
      <c r="G12" s="2" t="str">
        <f>CONCATENATE(F12," (",D12, "-",E12," blocs)")</f>
        <v>Tarif unitaire (0-10 blocs)</v>
      </c>
      <c r="H12" s="2">
        <f>B8</f>
        <v>6.5</v>
      </c>
      <c r="I12" s="2"/>
      <c r="J12" s="2"/>
      <c r="K12" s="2">
        <f>(E12-D12)*H12</f>
        <v>65</v>
      </c>
      <c r="L12" s="2">
        <f>($E$7-0)*H12</f>
        <v>288.8886</v>
      </c>
      <c r="M12" s="2">
        <f>K12</f>
        <v>65</v>
      </c>
      <c r="N12" s="2">
        <f>K12</f>
        <v>65</v>
      </c>
      <c r="O12" s="2">
        <f>K12</f>
        <v>65</v>
      </c>
      <c r="P12" s="2">
        <f>K12</f>
        <v>65</v>
      </c>
      <c r="Q12" s="2">
        <f>K12</f>
        <v>65</v>
      </c>
    </row>
    <row r="13" spans="1:17" x14ac:dyDescent="0.3">
      <c r="D13" s="2">
        <f>E12+1</f>
        <v>11</v>
      </c>
      <c r="E13" s="2">
        <f>B16</f>
        <v>30</v>
      </c>
      <c r="F13" s="2" t="s">
        <v>11</v>
      </c>
      <c r="G13" s="2" t="str">
        <f t="shared" ref="G13:G16" si="0">CONCATENATE(F13," (",D13, "-",E13," blocs)")</f>
        <v>Tarif petit nombre (11-30 blocs)</v>
      </c>
      <c r="H13" s="4">
        <f>H12*(1+$B$9)</f>
        <v>5.8500000000000005</v>
      </c>
      <c r="I13" s="2"/>
      <c r="J13" s="2"/>
      <c r="K13" s="2">
        <f>(E13-E12)*H13</f>
        <v>117.00000000000001</v>
      </c>
      <c r="L13" s="2"/>
      <c r="M13" s="2">
        <f>($E$7-E12)*H13</f>
        <v>201.49974000000003</v>
      </c>
      <c r="N13" s="2">
        <f>K13</f>
        <v>117.00000000000001</v>
      </c>
      <c r="O13" s="2">
        <f>K13</f>
        <v>117.00000000000001</v>
      </c>
      <c r="P13" s="2">
        <f>K13</f>
        <v>117.00000000000001</v>
      </c>
      <c r="Q13" s="2">
        <f>K13</f>
        <v>117.00000000000001</v>
      </c>
    </row>
    <row r="14" spans="1:17" ht="28.8" x14ac:dyDescent="0.3">
      <c r="B14" s="22" t="s">
        <v>82</v>
      </c>
      <c r="D14" s="2">
        <f t="shared" ref="D14:D17" si="1">E13+1</f>
        <v>31</v>
      </c>
      <c r="E14" s="2">
        <f>B17</f>
        <v>60</v>
      </c>
      <c r="F14" s="2" t="s">
        <v>12</v>
      </c>
      <c r="G14" s="2" t="str">
        <f t="shared" si="0"/>
        <v>Tarif moyen nombre (31-60 blocs)</v>
      </c>
      <c r="H14" s="4">
        <f t="shared" ref="H14:H17" si="2">H13*(1+$B$9)</f>
        <v>5.2650000000000006</v>
      </c>
      <c r="I14" s="2"/>
      <c r="J14" s="2"/>
      <c r="K14" s="2">
        <f>(E14-E13)*H14</f>
        <v>157.95000000000002</v>
      </c>
      <c r="L14" s="2"/>
      <c r="M14" s="2"/>
      <c r="N14" s="2">
        <f>($E$7-E13)*H14</f>
        <v>76.04976600000002</v>
      </c>
      <c r="O14" s="2">
        <f>K14</f>
        <v>157.95000000000002</v>
      </c>
      <c r="P14" s="2">
        <f>K14</f>
        <v>157.95000000000002</v>
      </c>
      <c r="Q14" s="2">
        <f>K14</f>
        <v>157.95000000000002</v>
      </c>
    </row>
    <row r="15" spans="1:17" x14ac:dyDescent="0.3">
      <c r="B15" s="20">
        <v>10</v>
      </c>
      <c r="D15" s="2">
        <f t="shared" si="1"/>
        <v>61</v>
      </c>
      <c r="E15" s="2">
        <f>B18</f>
        <v>100</v>
      </c>
      <c r="F15" s="2" t="s">
        <v>13</v>
      </c>
      <c r="G15" s="2" t="str">
        <f t="shared" si="0"/>
        <v>Tarif grand nombre (61-100 blocs)</v>
      </c>
      <c r="H15" s="4">
        <f t="shared" si="2"/>
        <v>4.738500000000001</v>
      </c>
      <c r="I15" s="2"/>
      <c r="J15" s="2"/>
      <c r="K15" s="2">
        <f>(E15-E14)*H15</f>
        <v>189.54000000000005</v>
      </c>
      <c r="L15" s="2"/>
      <c r="M15" s="2"/>
      <c r="N15" s="2"/>
      <c r="O15" s="2">
        <f>($E$7-E14)*H15</f>
        <v>-73.710210600000011</v>
      </c>
      <c r="P15" s="2">
        <f>K15</f>
        <v>189.54000000000005</v>
      </c>
      <c r="Q15" s="2">
        <f>K15</f>
        <v>189.54000000000005</v>
      </c>
    </row>
    <row r="16" spans="1:17" x14ac:dyDescent="0.3">
      <c r="B16" s="20">
        <v>30</v>
      </c>
      <c r="D16" s="2">
        <f t="shared" si="1"/>
        <v>101</v>
      </c>
      <c r="E16" s="2">
        <f>B19</f>
        <v>150</v>
      </c>
      <c r="F16" s="2" t="s">
        <v>14</v>
      </c>
      <c r="G16" s="2" t="str">
        <f t="shared" si="0"/>
        <v>Tarif super nombre (101-150 blocs)</v>
      </c>
      <c r="H16" s="4">
        <f t="shared" si="2"/>
        <v>4.2646500000000014</v>
      </c>
      <c r="I16" s="2"/>
      <c r="J16" s="2"/>
      <c r="K16" s="2">
        <f>(E16-E15)*H16</f>
        <v>213.23250000000007</v>
      </c>
      <c r="L16" s="2"/>
      <c r="M16" s="2"/>
      <c r="N16" s="2"/>
      <c r="O16" s="2"/>
      <c r="P16" s="2">
        <f>($E$7-E15)*H16</f>
        <v>-236.92518954000008</v>
      </c>
      <c r="Q16" s="2">
        <f>K16</f>
        <v>213.23250000000007</v>
      </c>
    </row>
    <row r="17" spans="2:17" x14ac:dyDescent="0.3">
      <c r="B17" s="20">
        <v>60</v>
      </c>
      <c r="D17" s="2">
        <f t="shared" si="1"/>
        <v>151</v>
      </c>
      <c r="E17" s="2"/>
      <c r="F17" s="2" t="s">
        <v>15</v>
      </c>
      <c r="G17" s="2" t="str">
        <f>CONCATENATE(F17," (", "&gt; ",D17, " blocs)")</f>
        <v>Tarif maxi nombre (&gt; 151 blocs)</v>
      </c>
      <c r="H17" s="4">
        <f t="shared" si="2"/>
        <v>3.8381850000000015</v>
      </c>
      <c r="I17" s="2"/>
      <c r="J17" s="2"/>
      <c r="K17" s="2">
        <f>(E17-E16)*H17</f>
        <v>-575.72775000000024</v>
      </c>
      <c r="L17" s="2"/>
      <c r="M17" s="2"/>
      <c r="N17" s="2"/>
      <c r="O17" s="2"/>
      <c r="P17" s="2"/>
      <c r="Q17" s="2">
        <f>($E$7-E16)*H17</f>
        <v>-405.14192058600014</v>
      </c>
    </row>
    <row r="18" spans="2:17" x14ac:dyDescent="0.3">
      <c r="B18" s="20">
        <v>100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x14ac:dyDescent="0.3">
      <c r="B19" s="20">
        <v>150</v>
      </c>
      <c r="D19" s="2"/>
      <c r="E19" s="2"/>
      <c r="F19" s="2"/>
      <c r="G19" s="2"/>
      <c r="H19" s="2"/>
      <c r="I19" s="2"/>
      <c r="J19" s="2"/>
      <c r="K19" s="5" t="s">
        <v>18</v>
      </c>
      <c r="L19" s="2">
        <f>SUM(L12:L17)</f>
        <v>288.8886</v>
      </c>
      <c r="M19" s="2">
        <f t="shared" ref="M19:Q19" si="3">SUM(M12:M17)</f>
        <v>266.49974000000003</v>
      </c>
      <c r="N19" s="2">
        <f t="shared" si="3"/>
        <v>258.04976600000003</v>
      </c>
      <c r="O19" s="2">
        <f t="shared" si="3"/>
        <v>266.23978940000006</v>
      </c>
      <c r="P19" s="2">
        <f t="shared" si="3"/>
        <v>292.56481046000005</v>
      </c>
      <c r="Q19" s="2">
        <f t="shared" si="3"/>
        <v>337.58057941400006</v>
      </c>
    </row>
    <row r="20" spans="2:17" x14ac:dyDescent="0.3">
      <c r="B20" s="20"/>
      <c r="D20" s="2"/>
      <c r="E20" s="2"/>
      <c r="F20" s="2"/>
      <c r="G20" s="2"/>
      <c r="H20" s="2"/>
      <c r="I20" s="2"/>
      <c r="J20" s="2"/>
      <c r="K20" s="2" t="s">
        <v>16</v>
      </c>
      <c r="L20" s="4">
        <f>L19/$E$7</f>
        <v>6.5</v>
      </c>
      <c r="M20" s="4">
        <f t="shared" ref="M20:Q20" si="4">M19/$E$7</f>
        <v>5.996250146250147</v>
      </c>
      <c r="N20" s="4">
        <f t="shared" si="4"/>
        <v>5.8061255411255415</v>
      </c>
      <c r="O20" s="4">
        <f t="shared" si="4"/>
        <v>5.9904012519012531</v>
      </c>
      <c r="P20" s="4">
        <f t="shared" si="4"/>
        <v>6.5827148180648187</v>
      </c>
      <c r="Q20" s="4">
        <f t="shared" si="4"/>
        <v>7.5955706323856331</v>
      </c>
    </row>
    <row r="29" spans="2:17" x14ac:dyDescent="0.3"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17" x14ac:dyDescent="0.3"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2:17" x14ac:dyDescent="0.3"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2:17" x14ac:dyDescent="0.3">
      <c r="D32" s="23"/>
      <c r="E32" s="23" t="s">
        <v>46</v>
      </c>
      <c r="F32" s="23"/>
      <c r="G32" s="23"/>
      <c r="H32" s="23"/>
      <c r="I32" s="23"/>
      <c r="J32" s="23"/>
      <c r="K32" s="23"/>
      <c r="L32" s="23"/>
      <c r="M32" s="23"/>
    </row>
    <row r="33" spans="4:13" x14ac:dyDescent="0.3">
      <c r="D33" s="23"/>
      <c r="E33" s="23" t="s">
        <v>45</v>
      </c>
      <c r="F33" s="23"/>
      <c r="G33" s="23"/>
      <c r="H33" s="23"/>
      <c r="I33" s="23"/>
      <c r="J33" s="23"/>
      <c r="K33" s="23"/>
      <c r="L33" s="23"/>
      <c r="M33" s="23"/>
    </row>
    <row r="34" spans="4:13" x14ac:dyDescent="0.3"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4:13" x14ac:dyDescent="0.3">
      <c r="D35" s="23"/>
      <c r="E35" s="23" t="s">
        <v>22</v>
      </c>
      <c r="F35" s="23"/>
      <c r="G35" s="23"/>
      <c r="H35" s="23"/>
      <c r="I35" s="23"/>
      <c r="J35" s="23"/>
      <c r="K35" s="23"/>
      <c r="L35" s="23"/>
      <c r="M35" s="23"/>
    </row>
    <row r="36" spans="4:13" x14ac:dyDescent="0.3">
      <c r="D36" s="23"/>
      <c r="E36" s="23" t="s">
        <v>111</v>
      </c>
      <c r="F36" s="23"/>
      <c r="G36" s="23"/>
      <c r="H36" s="23"/>
      <c r="I36" s="23"/>
      <c r="J36" s="23"/>
      <c r="K36" s="23"/>
      <c r="L36" s="23"/>
      <c r="M36" s="23"/>
    </row>
    <row r="37" spans="4:13" x14ac:dyDescent="0.3"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4:13" x14ac:dyDescent="0.3">
      <c r="D38" s="23"/>
      <c r="E38" s="23" t="s">
        <v>9</v>
      </c>
      <c r="F38" s="23"/>
      <c r="G38" s="23"/>
      <c r="H38" s="23"/>
      <c r="I38" s="23"/>
      <c r="J38" s="23"/>
      <c r="K38" s="23"/>
      <c r="L38" s="23"/>
      <c r="M38" s="23"/>
    </row>
    <row r="39" spans="4:13" x14ac:dyDescent="0.3">
      <c r="D39" s="23"/>
      <c r="E39" s="23" t="s">
        <v>25</v>
      </c>
      <c r="F39" s="23"/>
      <c r="G39" s="23"/>
      <c r="H39" s="23"/>
      <c r="I39" s="23"/>
      <c r="J39" s="23"/>
      <c r="K39" s="23"/>
      <c r="L39" s="23"/>
      <c r="M39" s="23"/>
    </row>
    <row r="40" spans="4:13" x14ac:dyDescent="0.3"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4:13" x14ac:dyDescent="0.3">
      <c r="D41" s="23"/>
      <c r="E41" s="23" t="s">
        <v>87</v>
      </c>
      <c r="F41" s="23"/>
      <c r="G41" s="23"/>
      <c r="H41" s="23"/>
      <c r="I41" s="23"/>
      <c r="J41" s="23"/>
      <c r="K41" s="23"/>
      <c r="L41" s="23"/>
      <c r="M41" s="23"/>
    </row>
    <row r="42" spans="4:13" x14ac:dyDescent="0.3">
      <c r="D42" s="23"/>
      <c r="E42" s="23" t="s">
        <v>88</v>
      </c>
      <c r="F42" s="23"/>
      <c r="G42" s="23"/>
      <c r="H42" s="23"/>
      <c r="I42" s="23"/>
      <c r="J42" s="23"/>
      <c r="K42" s="23"/>
      <c r="L42" s="23"/>
      <c r="M42" s="23"/>
    </row>
    <row r="43" spans="4:13" x14ac:dyDescent="0.3"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4:13" x14ac:dyDescent="0.3"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4:13" x14ac:dyDescent="0.3"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4:13" x14ac:dyDescent="0.3"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4:13" x14ac:dyDescent="0.3"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4:13" x14ac:dyDescent="0.3"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4:13" x14ac:dyDescent="0.3">
      <c r="D49" s="23"/>
      <c r="E49" s="23" t="s">
        <v>47</v>
      </c>
      <c r="F49" s="23"/>
      <c r="G49" s="23"/>
      <c r="H49" s="23"/>
      <c r="I49" s="23"/>
      <c r="J49" s="23"/>
      <c r="K49" s="23"/>
      <c r="L49" s="23"/>
      <c r="M49" s="23"/>
    </row>
    <row r="50" spans="4:13" x14ac:dyDescent="0.3">
      <c r="D50" s="23"/>
      <c r="E50" s="23" t="s">
        <v>52</v>
      </c>
      <c r="F50" s="23"/>
      <c r="G50" s="23"/>
      <c r="H50" s="23"/>
      <c r="I50" s="23"/>
      <c r="J50" s="23"/>
      <c r="K50" s="23"/>
      <c r="L50" s="23"/>
      <c r="M50" s="23"/>
    </row>
    <row r="51" spans="4:13" x14ac:dyDescent="0.3">
      <c r="D51" s="23"/>
      <c r="E51" s="23" t="s">
        <v>49</v>
      </c>
      <c r="F51" s="23"/>
      <c r="G51" s="23"/>
      <c r="H51" s="23"/>
      <c r="I51" s="23"/>
      <c r="J51" s="23"/>
      <c r="K51" s="23"/>
      <c r="L51" s="23"/>
      <c r="M51" s="23"/>
    </row>
    <row r="52" spans="4:13" x14ac:dyDescent="0.3"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4:13" x14ac:dyDescent="0.3">
      <c r="D53" s="23"/>
      <c r="E53" s="23" t="s">
        <v>54</v>
      </c>
      <c r="F53" s="23"/>
      <c r="G53" s="23"/>
      <c r="H53" s="23"/>
      <c r="I53" s="23"/>
      <c r="J53" s="23"/>
      <c r="K53" s="23" t="s">
        <v>33</v>
      </c>
      <c r="L53" s="23"/>
      <c r="M53" s="23"/>
    </row>
    <row r="54" spans="4:13" x14ac:dyDescent="0.3">
      <c r="D54" s="23"/>
      <c r="E54" s="23" t="s">
        <v>49</v>
      </c>
      <c r="F54" s="23"/>
      <c r="G54" s="23"/>
      <c r="H54" s="23" t="s">
        <v>59</v>
      </c>
      <c r="I54" s="23"/>
      <c r="J54" s="23"/>
      <c r="K54" s="24" t="str">
        <f>IF('demande devis correction'!$B$27=$E$50,$H$54, " "    )</f>
        <v xml:space="preserve"> </v>
      </c>
      <c r="L54" s="23"/>
      <c r="M54" s="23"/>
    </row>
    <row r="55" spans="4:13" x14ac:dyDescent="0.3">
      <c r="D55" s="23"/>
      <c r="E55" s="23"/>
      <c r="F55" s="23"/>
      <c r="G55" s="23"/>
      <c r="H55" s="23" t="s">
        <v>56</v>
      </c>
      <c r="I55" s="23"/>
      <c r="J55" s="23"/>
      <c r="K55" s="24" t="str">
        <f>IF('demande devis correction'!$B$28=$E$53,$H$55, " "    )</f>
        <v xml:space="preserve"> </v>
      </c>
      <c r="L55" s="23"/>
      <c r="M55" s="23"/>
    </row>
    <row r="56" spans="4:13" x14ac:dyDescent="0.3">
      <c r="D56" s="23"/>
      <c r="E56" s="23"/>
      <c r="F56" s="23"/>
      <c r="G56" s="23"/>
      <c r="H56" s="23" t="s">
        <v>58</v>
      </c>
      <c r="I56" s="23"/>
      <c r="J56" s="23"/>
      <c r="K56" s="24" t="str">
        <f>IF('demande devis correction'!$B$29=$E$57,$H$56," "    )</f>
        <v xml:space="preserve"> </v>
      </c>
      <c r="L56" s="23"/>
      <c r="M56" s="23"/>
    </row>
    <row r="57" spans="4:13" x14ac:dyDescent="0.3">
      <c r="D57" s="25" t="s">
        <v>55</v>
      </c>
      <c r="E57" s="23" t="s">
        <v>48</v>
      </c>
      <c r="F57" s="23"/>
      <c r="G57" s="23"/>
      <c r="H57" s="23" t="s">
        <v>84</v>
      </c>
      <c r="I57" s="23"/>
      <c r="J57" s="23"/>
      <c r="K57" s="24" t="str">
        <f>IF('demande devis correction'!$B$30=$E$57,$H$57," "    )</f>
        <v xml:space="preserve"> </v>
      </c>
      <c r="L57" s="23"/>
      <c r="M57" s="23"/>
    </row>
    <row r="58" spans="4:13" x14ac:dyDescent="0.3">
      <c r="D58" s="23"/>
      <c r="E58" s="23" t="s">
        <v>49</v>
      </c>
      <c r="F58" s="23"/>
      <c r="G58" s="23"/>
      <c r="H58" s="23" t="s">
        <v>60</v>
      </c>
      <c r="I58" s="23"/>
      <c r="J58" s="23"/>
      <c r="K58" s="24" t="str">
        <f>IF('demande devis correction'!$B$31=$E$57,$H$58," "    )</f>
        <v xml:space="preserve"> </v>
      </c>
      <c r="L58" s="23"/>
      <c r="M58" s="23"/>
    </row>
    <row r="59" spans="4:13" x14ac:dyDescent="0.3">
      <c r="D59" s="23"/>
      <c r="E59" s="23"/>
      <c r="F59" s="23"/>
      <c r="G59" s="23"/>
      <c r="H59" s="23" t="s">
        <v>57</v>
      </c>
      <c r="I59" s="23"/>
      <c r="J59" s="23"/>
      <c r="K59" s="24" t="str">
        <f>IF('demande devis correction'!$B$32=$E$57,$H$59," "    )</f>
        <v xml:space="preserve"> </v>
      </c>
      <c r="L59" s="23"/>
      <c r="M59" s="23"/>
    </row>
    <row r="60" spans="4:13" x14ac:dyDescent="0.3">
      <c r="D60" s="23"/>
      <c r="E60" s="23"/>
      <c r="F60" s="23"/>
      <c r="G60" s="23"/>
      <c r="H60" s="23" t="s">
        <v>61</v>
      </c>
      <c r="I60" s="23"/>
      <c r="J60" s="23"/>
      <c r="K60" s="24" t="str">
        <f>IF('demande devis correction'!$B$33=$E$57,$H$60," "    )</f>
        <v xml:space="preserve"> </v>
      </c>
      <c r="L60" s="23"/>
      <c r="M60" s="23"/>
    </row>
    <row r="61" spans="4:13" x14ac:dyDescent="0.3">
      <c r="D61" s="23"/>
      <c r="E61" s="23"/>
      <c r="F61" s="23"/>
      <c r="G61" s="23"/>
      <c r="H61" s="23" t="s">
        <v>85</v>
      </c>
      <c r="I61" s="23"/>
      <c r="J61" s="23"/>
      <c r="K61" s="24" t="str">
        <f>IF('demande devis correction'!$B$34=$E$62,H61, " "    )</f>
        <v xml:space="preserve"> </v>
      </c>
      <c r="L61" s="23"/>
      <c r="M61" s="23"/>
    </row>
    <row r="62" spans="4:13" x14ac:dyDescent="0.3">
      <c r="D62" s="23"/>
      <c r="E62" s="23" t="s">
        <v>62</v>
      </c>
      <c r="F62" s="23"/>
      <c r="G62" s="23"/>
      <c r="H62" s="23"/>
      <c r="I62" s="23"/>
      <c r="J62" s="23"/>
      <c r="K62" s="23"/>
      <c r="L62" s="23"/>
      <c r="M62" s="23"/>
    </row>
    <row r="63" spans="4:13" x14ac:dyDescent="0.3">
      <c r="D63" s="23"/>
      <c r="E63" s="23" t="s">
        <v>49</v>
      </c>
      <c r="F63" s="23"/>
      <c r="G63" s="23"/>
      <c r="H63" s="23"/>
      <c r="I63" s="23"/>
      <c r="J63" s="23" t="s">
        <v>53</v>
      </c>
      <c r="K63" s="26" t="str">
        <f>CONCATENATE(K54,K55,K56,K57,K58,K59,K60,K61)</f>
        <v xml:space="preserve">        </v>
      </c>
      <c r="L63" s="23" t="s">
        <v>102</v>
      </c>
      <c r="M63" s="23"/>
    </row>
    <row r="64" spans="4:13" x14ac:dyDescent="0.3">
      <c r="D64" s="23"/>
      <c r="E64" s="23"/>
      <c r="F64" s="23"/>
      <c r="G64" s="23"/>
      <c r="H64" s="23"/>
      <c r="I64" s="23"/>
      <c r="J64" s="23"/>
      <c r="K64" s="23"/>
      <c r="L64" s="23"/>
      <c r="M64" s="23"/>
    </row>
    <row r="65" spans="4:13" x14ac:dyDescent="0.3"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4:13" x14ac:dyDescent="0.3"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4:13" x14ac:dyDescent="0.3">
      <c r="D67" s="23"/>
      <c r="E67" s="23" t="s">
        <v>34</v>
      </c>
      <c r="F67" s="23"/>
      <c r="G67" s="23"/>
      <c r="H67" s="23"/>
      <c r="I67" s="23"/>
      <c r="J67" s="23"/>
      <c r="K67" s="23"/>
      <c r="L67" s="23"/>
      <c r="M67" s="23"/>
    </row>
    <row r="68" spans="4:13" x14ac:dyDescent="0.3">
      <c r="D68" s="23"/>
      <c r="E68" s="27">
        <f>IF('demande devis correction'!$B$27=E50,0.1, 0)</f>
        <v>0</v>
      </c>
      <c r="F68" s="23"/>
      <c r="G68" s="23"/>
      <c r="H68" s="23"/>
      <c r="I68" s="23"/>
      <c r="J68" s="23"/>
      <c r="K68" s="23"/>
      <c r="L68" s="23"/>
      <c r="M68" s="23"/>
    </row>
    <row r="69" spans="4:13" x14ac:dyDescent="0.3">
      <c r="D69" s="23"/>
      <c r="E69" s="27">
        <f>IF('demande devis correction'!$B$28=E53,0.1, 0)</f>
        <v>0</v>
      </c>
      <c r="F69" s="23"/>
      <c r="G69" s="23"/>
      <c r="H69" s="23"/>
      <c r="I69" s="23"/>
      <c r="J69" s="23"/>
      <c r="K69" s="23"/>
      <c r="L69" s="23"/>
      <c r="M69" s="23"/>
    </row>
    <row r="70" spans="4:13" x14ac:dyDescent="0.3">
      <c r="D70" s="23"/>
      <c r="E70" s="27">
        <f>IF('demande devis correction'!$B$29=$E$57,0.03, 0)</f>
        <v>0</v>
      </c>
      <c r="F70" s="23"/>
      <c r="G70" s="23"/>
      <c r="H70" s="23"/>
      <c r="I70" s="23"/>
      <c r="J70" s="23"/>
      <c r="K70" s="23"/>
      <c r="L70" s="23"/>
      <c r="M70" s="23"/>
    </row>
    <row r="71" spans="4:13" x14ac:dyDescent="0.3">
      <c r="D71" s="23"/>
      <c r="E71" s="27">
        <f>IF('demande devis correction'!$B$30=$E$57,0.03, 0)</f>
        <v>0</v>
      </c>
      <c r="F71" s="23"/>
      <c r="G71" s="23"/>
      <c r="H71" s="23"/>
      <c r="I71" s="23"/>
      <c r="J71" s="23"/>
      <c r="K71" s="23"/>
      <c r="L71" s="23"/>
      <c r="M71" s="23"/>
    </row>
    <row r="72" spans="4:13" x14ac:dyDescent="0.3">
      <c r="D72" s="23"/>
      <c r="E72" s="27">
        <f>IF('demande devis correction'!$B$31=$E$57,0.03, 0)</f>
        <v>0</v>
      </c>
      <c r="F72" s="23"/>
      <c r="G72" s="23"/>
      <c r="H72" s="23"/>
      <c r="I72" s="23"/>
      <c r="J72" s="23"/>
      <c r="K72" s="23"/>
      <c r="L72" s="23"/>
      <c r="M72" s="23"/>
    </row>
    <row r="73" spans="4:13" x14ac:dyDescent="0.3">
      <c r="D73" s="23"/>
      <c r="E73" s="27">
        <f>IF('demande devis correction'!$B$32=$E$57,0.03, 0)</f>
        <v>0</v>
      </c>
      <c r="F73" s="23"/>
      <c r="G73" s="23"/>
      <c r="H73" s="23"/>
      <c r="I73" s="23"/>
      <c r="J73" s="23"/>
      <c r="K73" s="23"/>
      <c r="L73" s="23"/>
      <c r="M73" s="23"/>
    </row>
    <row r="74" spans="4:13" x14ac:dyDescent="0.3">
      <c r="D74" s="23"/>
      <c r="E74" s="27">
        <f>IF('demande devis correction'!$B$33=$E$57,0.03, 0)</f>
        <v>0</v>
      </c>
      <c r="F74" s="23"/>
      <c r="G74" s="23"/>
      <c r="H74" s="23"/>
      <c r="I74" s="23"/>
      <c r="J74" s="23"/>
      <c r="K74" s="23"/>
      <c r="L74" s="23"/>
      <c r="M74" s="23"/>
    </row>
    <row r="75" spans="4:13" x14ac:dyDescent="0.3">
      <c r="D75" s="23"/>
      <c r="E75" s="27">
        <f>IF('demande devis correction'!$B$34=E62,0.1, 0)</f>
        <v>0</v>
      </c>
      <c r="F75" s="23"/>
      <c r="G75" s="23"/>
      <c r="H75" s="23"/>
      <c r="I75" s="23"/>
      <c r="J75" s="23"/>
      <c r="K75" s="23"/>
      <c r="L75" s="23"/>
      <c r="M75" s="23"/>
    </row>
    <row r="76" spans="4:13" x14ac:dyDescent="0.3"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4:13" x14ac:dyDescent="0.3"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4:13" x14ac:dyDescent="0.3">
      <c r="D78" s="23"/>
      <c r="E78" s="23"/>
      <c r="F78" s="23"/>
      <c r="G78" s="23"/>
      <c r="H78" s="23"/>
      <c r="I78" s="23"/>
      <c r="J78" s="23"/>
      <c r="K78" s="23"/>
      <c r="L78" s="23"/>
      <c r="M78" s="23"/>
    </row>
  </sheetData>
  <sheetProtection sheet="1" selectLockedCells="1"/>
  <mergeCells count="1">
    <mergeCell ref="D5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C37"/>
  <sheetViews>
    <sheetView tabSelected="1" topLeftCell="A10" zoomScale="70" zoomScaleNormal="70" workbookViewId="0">
      <selection activeCell="B5" sqref="B5"/>
    </sheetView>
  </sheetViews>
  <sheetFormatPr baseColWidth="10" defaultColWidth="11.44140625" defaultRowHeight="14.4" x14ac:dyDescent="0.3"/>
  <cols>
    <col min="1" max="1" width="43.109375" style="6" customWidth="1"/>
    <col min="2" max="2" width="48.44140625" style="6" customWidth="1"/>
    <col min="3" max="3" width="4.33203125" style="6" customWidth="1"/>
    <col min="4" max="4" width="11.44140625" style="6"/>
    <col min="5" max="5" width="18.33203125" style="6" customWidth="1"/>
    <col min="6" max="6" width="11.44140625" style="6"/>
    <col min="7" max="7" width="18.33203125" style="6" customWidth="1"/>
    <col min="8" max="8" width="15.77734375" style="6" customWidth="1"/>
    <col min="9" max="16384" width="11.44140625" style="6"/>
  </cols>
  <sheetData>
    <row r="1" spans="1:3" ht="60.45" customHeight="1" x14ac:dyDescent="0.3">
      <c r="B1" s="39" t="s">
        <v>121</v>
      </c>
    </row>
    <row r="2" spans="1:3" ht="32.549999999999997" customHeight="1" x14ac:dyDescent="0.3">
      <c r="A2" s="76" t="s">
        <v>93</v>
      </c>
      <c r="B2" s="76"/>
    </row>
    <row r="3" spans="1:3" ht="45" customHeight="1" x14ac:dyDescent="0.3">
      <c r="A3" s="75" t="s">
        <v>120</v>
      </c>
      <c r="B3" s="75"/>
    </row>
    <row r="4" spans="1:3" ht="18" x14ac:dyDescent="0.3">
      <c r="A4" s="76" t="s">
        <v>103</v>
      </c>
      <c r="B4" s="76"/>
    </row>
    <row r="5" spans="1:3" ht="17.55" customHeight="1" x14ac:dyDescent="0.3">
      <c r="A5" s="32" t="s">
        <v>63</v>
      </c>
      <c r="B5" s="7"/>
      <c r="C5" s="8"/>
    </row>
    <row r="6" spans="1:3" ht="17.55" customHeight="1" x14ac:dyDescent="0.3">
      <c r="A6" s="32" t="s">
        <v>44</v>
      </c>
      <c r="B6" s="7"/>
    </row>
    <row r="7" spans="1:3" ht="17.55" customHeight="1" x14ac:dyDescent="0.3">
      <c r="A7" s="32" t="s">
        <v>43</v>
      </c>
      <c r="B7" s="7"/>
    </row>
    <row r="8" spans="1:3" ht="17.55" customHeight="1" x14ac:dyDescent="0.3">
      <c r="A8" s="32" t="s">
        <v>21</v>
      </c>
      <c r="B8" s="9"/>
    </row>
    <row r="9" spans="1:3" ht="17.55" customHeight="1" x14ac:dyDescent="0.3">
      <c r="A9" s="32" t="s">
        <v>20</v>
      </c>
      <c r="B9" s="10"/>
    </row>
    <row r="10" spans="1:3" ht="41.55" customHeight="1" x14ac:dyDescent="0.3">
      <c r="A10" s="32" t="s">
        <v>29</v>
      </c>
      <c r="B10" s="7"/>
    </row>
    <row r="11" spans="1:3" ht="20.55" customHeight="1" x14ac:dyDescent="0.3">
      <c r="A11" s="32" t="s">
        <v>65</v>
      </c>
      <c r="B11" s="31" t="s">
        <v>119</v>
      </c>
    </row>
    <row r="12" spans="1:3" ht="18" customHeight="1" x14ac:dyDescent="0.3">
      <c r="A12" s="79" t="s">
        <v>35</v>
      </c>
      <c r="B12" s="80"/>
    </row>
    <row r="13" spans="1:3" ht="15.45" customHeight="1" x14ac:dyDescent="0.3">
      <c r="A13" s="33" t="s">
        <v>23</v>
      </c>
      <c r="B13" s="11"/>
      <c r="C13" s="8"/>
    </row>
    <row r="14" spans="1:3" ht="15.45" customHeight="1" x14ac:dyDescent="0.3">
      <c r="A14" s="33" t="s">
        <v>37</v>
      </c>
      <c r="B14" s="11"/>
    </row>
    <row r="15" spans="1:3" ht="15.45" customHeight="1" x14ac:dyDescent="0.3">
      <c r="A15" s="33" t="s">
        <v>38</v>
      </c>
      <c r="B15" s="11"/>
      <c r="C15" s="8"/>
    </row>
    <row r="16" spans="1:3" ht="15.45" customHeight="1" x14ac:dyDescent="0.3">
      <c r="A16" s="33" t="s">
        <v>1</v>
      </c>
      <c r="B16" s="11"/>
    </row>
    <row r="17" spans="1:3" ht="15.45" customHeight="1" x14ac:dyDescent="0.3">
      <c r="A17" s="33" t="s">
        <v>39</v>
      </c>
      <c r="B17" s="11"/>
    </row>
    <row r="18" spans="1:3" ht="15.45" customHeight="1" x14ac:dyDescent="0.3">
      <c r="A18" s="33" t="s">
        <v>40</v>
      </c>
      <c r="B18" s="29">
        <v>111111</v>
      </c>
    </row>
    <row r="19" spans="1:3" ht="15.45" customHeight="1" x14ac:dyDescent="0.3">
      <c r="A19" s="33" t="s">
        <v>2</v>
      </c>
      <c r="B19" s="12">
        <f>$B$18/2500</f>
        <v>44.444400000000002</v>
      </c>
    </row>
    <row r="20" spans="1:3" ht="15.45" customHeight="1" x14ac:dyDescent="0.3">
      <c r="A20" s="33" t="s">
        <v>91</v>
      </c>
      <c r="B20" s="16" t="str">
        <f>'calculateur CORR'!$E$8</f>
        <v>Tarif moyen nombre (31-60 blocs)</v>
      </c>
    </row>
    <row r="21" spans="1:3" ht="26.55" customHeight="1" x14ac:dyDescent="0.3">
      <c r="A21" s="81" t="s">
        <v>41</v>
      </c>
      <c r="B21" s="81"/>
    </row>
    <row r="22" spans="1:3" ht="16.2" customHeight="1" x14ac:dyDescent="0.3">
      <c r="A22" s="33" t="s">
        <v>117</v>
      </c>
      <c r="B22" s="30" t="s">
        <v>119</v>
      </c>
    </row>
    <row r="23" spans="1:3" ht="16.2" customHeight="1" x14ac:dyDescent="0.3">
      <c r="A23" s="33" t="s">
        <v>118</v>
      </c>
      <c r="B23" s="30" t="s">
        <v>119</v>
      </c>
    </row>
    <row r="24" spans="1:3" ht="16.2" customHeight="1" x14ac:dyDescent="0.3">
      <c r="A24" s="33" t="s">
        <v>32</v>
      </c>
      <c r="B24" s="13"/>
      <c r="C24" s="8"/>
    </row>
    <row r="25" spans="1:3" ht="48" customHeight="1" x14ac:dyDescent="0.3">
      <c r="A25" s="33" t="s">
        <v>36</v>
      </c>
      <c r="B25" s="17"/>
    </row>
    <row r="26" spans="1:3" ht="21" x14ac:dyDescent="0.3">
      <c r="A26" s="78" t="s">
        <v>98</v>
      </c>
      <c r="B26" s="78"/>
    </row>
    <row r="27" spans="1:3" ht="12.45" customHeight="1" x14ac:dyDescent="0.3">
      <c r="A27" s="34" t="s">
        <v>50</v>
      </c>
      <c r="B27" s="14"/>
      <c r="C27" s="8"/>
    </row>
    <row r="28" spans="1:3" ht="12.45" customHeight="1" x14ac:dyDescent="0.3">
      <c r="A28" s="34" t="s">
        <v>51</v>
      </c>
      <c r="B28" s="14"/>
      <c r="C28" s="8"/>
    </row>
    <row r="29" spans="1:3" ht="12.45" customHeight="1" x14ac:dyDescent="0.3">
      <c r="A29" s="34" t="s">
        <v>77</v>
      </c>
      <c r="B29" s="14"/>
      <c r="C29" s="8"/>
    </row>
    <row r="30" spans="1:3" ht="12.45" customHeight="1" x14ac:dyDescent="0.3">
      <c r="A30" s="34" t="s">
        <v>78</v>
      </c>
      <c r="B30" s="14"/>
      <c r="C30" s="8"/>
    </row>
    <row r="31" spans="1:3" ht="12.45" customHeight="1" x14ac:dyDescent="0.3">
      <c r="A31" s="34" t="s">
        <v>79</v>
      </c>
      <c r="B31" s="14"/>
      <c r="C31" s="8"/>
    </row>
    <row r="32" spans="1:3" ht="12.45" customHeight="1" x14ac:dyDescent="0.3">
      <c r="A32" s="34" t="s">
        <v>80</v>
      </c>
      <c r="B32" s="14"/>
      <c r="C32" s="8"/>
    </row>
    <row r="33" spans="1:3" ht="12.45" customHeight="1" x14ac:dyDescent="0.3">
      <c r="A33" s="34" t="s">
        <v>81</v>
      </c>
      <c r="B33" s="14"/>
      <c r="C33" s="8"/>
    </row>
    <row r="34" spans="1:3" ht="12.45" customHeight="1" x14ac:dyDescent="0.3">
      <c r="A34" s="34" t="s">
        <v>99</v>
      </c>
      <c r="B34" s="14"/>
      <c r="C34" s="8"/>
    </row>
    <row r="35" spans="1:3" ht="17.55" customHeight="1" x14ac:dyDescent="0.3">
      <c r="A35" s="15" t="s">
        <v>96</v>
      </c>
      <c r="B35" s="1">
        <f>IF(  SUM('calculateur CORR'!$E$68:$E$75)&lt;=0.2,SUM('calculateur CORR'!$E$68:$E$75), 0.2)</f>
        <v>0</v>
      </c>
    </row>
    <row r="36" spans="1:3" ht="15" thickBot="1" x14ac:dyDescent="0.35"/>
    <row r="37" spans="1:3" ht="34.200000000000003" customHeight="1" thickTop="1" x14ac:dyDescent="0.3">
      <c r="A37" s="67" t="s">
        <v>122</v>
      </c>
      <c r="B37" s="77"/>
      <c r="C37" s="77"/>
    </row>
  </sheetData>
  <sheetProtection sheet="1" selectLockedCells="1"/>
  <mergeCells count="7">
    <mergeCell ref="A3:B3"/>
    <mergeCell ref="A2:B2"/>
    <mergeCell ref="A37:C37"/>
    <mergeCell ref="A26:B26"/>
    <mergeCell ref="A4:B4"/>
    <mergeCell ref="A12:B12"/>
    <mergeCell ref="A21:B21"/>
  </mergeCells>
  <dataValidations xWindow="628" yWindow="793" count="1">
    <dataValidation type="list" showInputMessage="1" showErrorMessage="1" error="Annuler et sélectionner dans la liste à l'aide du bouton de droite" prompt="Bouton de sélection à droite" sqref="B13" xr:uid="{DA56682A-F6A6-42DB-B8B5-122D5253A799}">
      <formula1>Correction_orthographique_simple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28" yWindow="793" count="7">
        <x14:dataValidation type="list" allowBlank="1" showInputMessage="1" showErrorMessage="1" error="Annuler et sélectionner dans la liste à l'aide du bouton de droite" prompt="Bouton de sélection à droite" xr:uid="{93E30F7E-BC95-4411-9732-E3A525F62878}">
          <x14:formula1>
            <xm:f>'calculateur CORR'!$E$32:$E$33</xm:f>
          </x14:formula1>
          <xm:sqref>B5</xm:sqref>
        </x14:dataValidation>
        <x14:dataValidation type="list" showInputMessage="1" showErrorMessage="1" error="Annuler et sélectionner dans la liste à l'aide du bouton de droite" xr:uid="{A294A6ED-48A5-453D-A0B3-3CB504DCF0F7}">
          <x14:formula1>
            <xm:f>'calculateur CORR'!$E$38:$E$39</xm:f>
          </x14:formula1>
          <xm:sqref>B15</xm:sqref>
        </x14:dataValidation>
        <x14:dataValidation type="list" showInputMessage="1" showErrorMessage="1" error="Annuler et sélectionner dans la liste à l'aide du bouton de droite" xr:uid="{2044DC17-D293-448C-BAC8-9DBB9B5E20CC}">
          <x14:formula1>
            <xm:f>'calculateur CORR'!$E$41:$E$42</xm:f>
          </x14:formula1>
          <xm:sqref>B24</xm:sqref>
        </x14:dataValidation>
        <x14:dataValidation type="list" allowBlank="1" showInputMessage="1" showErrorMessage="1" error="Annuler et sélectionner dans la liste à l'aide du bouton de droite" xr:uid="{B55AAD1F-1E74-456F-8AD6-D932F07AE404}">
          <x14:formula1>
            <xm:f>'calculateur CORR'!$E$62:$E$63</xm:f>
          </x14:formula1>
          <xm:sqref>B34</xm:sqref>
        </x14:dataValidation>
        <x14:dataValidation type="list" allowBlank="1" showInputMessage="1" showErrorMessage="1" error="Annuler et sélectionner dans la liste à l'aide du bouton de droite" xr:uid="{C31C8859-79F1-42AC-B9ED-C7EA0DD67C29}">
          <x14:formula1>
            <xm:f>'calculateur CORR'!$E$57:$E$58</xm:f>
          </x14:formula1>
          <xm:sqref>B29:B33</xm:sqref>
        </x14:dataValidation>
        <x14:dataValidation type="list" allowBlank="1" showInputMessage="1" showErrorMessage="1" error="Annuler et sélectionner dans la liste à l'aide du bouton de droite" xr:uid="{9F9416B2-4BBF-41F2-B60D-09D1E86509C0}">
          <x14:formula1>
            <xm:f>'calculateur CORR'!$E$50:$E$51</xm:f>
          </x14:formula1>
          <xm:sqref>B27</xm:sqref>
        </x14:dataValidation>
        <x14:dataValidation type="list" allowBlank="1" showInputMessage="1" showErrorMessage="1" error="Annuler et sélectionner dans la liste à l'aide du bouton de droite" xr:uid="{77ACD6D3-332B-494B-886A-C313EC4C2AAF}">
          <x14:formula1>
            <xm:f>'calculateur CORR'!$E$53:$E$54</xm:f>
          </x14:formula1>
          <xm:sqref>B28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Devis CORR</vt:lpstr>
      <vt:lpstr>calculateur CORR</vt:lpstr>
      <vt:lpstr>demande devis correction</vt:lpstr>
      <vt:lpstr>Correction_orthographique_simple</vt:lpstr>
      <vt:lpstr>Mme</vt:lpstr>
      <vt:lpstr>Prestation_souhaitée</vt:lpstr>
      <vt:lpstr>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Toufic WEHBE</dc:creator>
  <cp:lastModifiedBy>Dr.Toufic.WEHBE</cp:lastModifiedBy>
  <cp:lastPrinted>2024-02-03T10:14:15Z</cp:lastPrinted>
  <dcterms:created xsi:type="dcterms:W3CDTF">2014-05-04T17:33:05Z</dcterms:created>
  <dcterms:modified xsi:type="dcterms:W3CDTF">2024-02-25T08:22:24Z</dcterms:modified>
</cp:coreProperties>
</file>